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mtpi\Documents\XBS Documents\Environmental advisor RCA\Calculator\College calculators\"/>
    </mc:Choice>
  </mc:AlternateContent>
  <xr:revisionPtr revIDLastSave="0" documentId="8_{A6E029EA-340C-45DE-ABAD-865A1680CDD3}" xr6:coauthVersionLast="46" xr6:coauthVersionMax="46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Settings" sheetId="7" r:id="rId1"/>
    <sheet name="BOC-Linde" sheetId="6" r:id="rId2"/>
    <sheet name="Air Liquide" sheetId="4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4" l="1"/>
  <c r="G20" i="4" s="1"/>
  <c r="K13" i="4" s="1"/>
  <c r="E19" i="4"/>
  <c r="G19" i="4" s="1"/>
  <c r="E18" i="4"/>
  <c r="G18" i="4" s="1"/>
  <c r="E17" i="4"/>
  <c r="G17" i="4" s="1"/>
  <c r="E16" i="4"/>
  <c r="G16" i="4" s="1"/>
  <c r="E14" i="4"/>
  <c r="G14" i="4" s="1"/>
  <c r="E13" i="4"/>
  <c r="G13" i="4" s="1"/>
  <c r="E12" i="4"/>
  <c r="G12" i="4" s="1"/>
  <c r="E11" i="4"/>
  <c r="G4" i="7"/>
  <c r="E29" i="6" s="1"/>
  <c r="G29" i="6" s="1"/>
  <c r="L14" i="6" s="1"/>
  <c r="F4" i="7"/>
  <c r="F5" i="7"/>
  <c r="G5" i="7" s="1"/>
  <c r="F3" i="7"/>
  <c r="G3" i="7" s="1"/>
  <c r="E5" i="7"/>
  <c r="E4" i="7"/>
  <c r="E3" i="7"/>
  <c r="E24" i="6"/>
  <c r="G24" i="6" s="1"/>
  <c r="E23" i="6"/>
  <c r="G23" i="6" s="1"/>
  <c r="E22" i="6"/>
  <c r="E21" i="6"/>
  <c r="G21" i="6" s="1"/>
  <c r="E20" i="6"/>
  <c r="G20" i="6" s="1"/>
  <c r="E19" i="6"/>
  <c r="G19" i="6" s="1"/>
  <c r="E18" i="6"/>
  <c r="G18" i="6" s="1"/>
  <c r="E17" i="6"/>
  <c r="G17" i="6" s="1"/>
  <c r="E16" i="6"/>
  <c r="G16" i="6" s="1"/>
  <c r="E15" i="6"/>
  <c r="G15" i="6" s="1"/>
  <c r="E14" i="6"/>
  <c r="G14" i="6" s="1"/>
  <c r="E13" i="6"/>
  <c r="G13" i="6" s="1"/>
  <c r="E12" i="6"/>
  <c r="G12" i="6" s="1"/>
  <c r="E11" i="6"/>
  <c r="G11" i="6" s="1"/>
  <c r="E10" i="6"/>
  <c r="G10" i="6" s="1"/>
  <c r="G15" i="4"/>
  <c r="D11" i="4"/>
  <c r="E27" i="4" l="1"/>
  <c r="G27" i="4" s="1"/>
  <c r="K16" i="4" s="1"/>
  <c r="E30" i="6"/>
  <c r="G30" i="6" s="1"/>
  <c r="L15" i="6" s="1"/>
  <c r="E26" i="4"/>
  <c r="G26" i="4" s="1"/>
  <c r="K15" i="4" s="1"/>
  <c r="E28" i="6"/>
  <c r="G28" i="6" s="1"/>
  <c r="L13" i="6" s="1"/>
  <c r="E25" i="4"/>
  <c r="G25" i="4" s="1"/>
  <c r="G11" i="4"/>
  <c r="K11" i="4" s="1"/>
  <c r="L12" i="6"/>
  <c r="F22" i="4"/>
  <c r="K12" i="4"/>
  <c r="L10" i="6"/>
  <c r="L11" i="6"/>
  <c r="F26" i="6"/>
  <c r="F28" i="4" l="1"/>
  <c r="B31" i="4" s="1"/>
  <c r="K14" i="4"/>
  <c r="K17" i="4" s="1"/>
  <c r="L16" i="4" s="1"/>
  <c r="F31" i="6"/>
  <c r="B33" i="6" s="1"/>
  <c r="L16" i="6"/>
  <c r="L13" i="4" l="1"/>
  <c r="L11" i="4"/>
  <c r="L14" i="4"/>
  <c r="L12" i="4"/>
  <c r="L15" i="4"/>
  <c r="M13" i="6"/>
  <c r="M12" i="6"/>
  <c r="M11" i="6"/>
  <c r="M10" i="6"/>
  <c r="M15" i="6"/>
  <c r="M14" i="6"/>
  <c r="L17" i="4" l="1"/>
  <c r="M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Tom Pierce</author>
  </authors>
  <commentList>
    <comment ref="C9" authorId="0" shapeId="0" xr:uid="{F749B69E-0821-456F-937E-E8E21C1212D8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15C is the standard at which volumes are measured for medical gases</t>
        </r>
      </text>
    </comment>
    <comment ref="F9" authorId="0" shapeId="0" xr:uid="{1D9C621B-A780-41CD-B8D2-FEC9A77250DE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Insert the numbers of cylinders used or returned (preferably), but not both, per year
</t>
        </r>
      </text>
    </comment>
    <comment ref="G9" authorId="0" shapeId="0" xr:uid="{539B687F-DBE4-437F-A19E-78564A878715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Derives the CO2e from the CO2e per cylinder and the number of cylinders
</t>
        </r>
      </text>
    </comment>
    <comment ref="K10" authorId="0" shapeId="0" xr:uid="{910658A5-95AC-454D-8261-2EE8680C2892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Excludes size F</t>
        </r>
      </text>
    </comment>
    <comment ref="C15" authorId="0" shapeId="0" xr:uid="{C72CA228-DBAE-4536-9962-E50171078DC0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The volume of nitrous oxide is taken as 50% of the total cylinder contents
</t>
        </r>
      </text>
    </comment>
    <comment ref="D15" authorId="0" shapeId="0" xr:uid="{0E07C40E-17AA-4849-88B2-7DD369F5CCE4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Fro PH 24/1/20 from mean mass of wt of filled contents. Not from calculated values 
</t>
        </r>
      </text>
    </comment>
    <comment ref="F27" authorId="0" shapeId="0" xr:uid="{38D80D0C-CFF7-44A4-B420-0E2BA9AFA05D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Insert number of bottles used per year
</t>
        </r>
      </text>
    </comment>
    <comment ref="G28" authorId="0" shapeId="0" xr:uid="{34AD14C7-9FD9-453C-91EF-1C462E499FD6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E19 x F19
</t>
        </r>
      </text>
    </comment>
    <comment ref="F31" authorId="0" shapeId="0" xr:uid="{8FE86E76-3FEF-4B01-9E2C-5321B43D78C0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= Sum of CO2e for the halogenated volatile 
</t>
        </r>
      </text>
    </comment>
    <comment ref="A33" authorId="0" shapeId="0" xr:uid="{7A191E39-529A-4500-8164-C1270EB9DA7D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Sum of nitrous oxide and halogen volatile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Tom Pierce</author>
  </authors>
  <commentList>
    <comment ref="C10" authorId="0" shapeId="0" xr:uid="{A0D42E88-5799-4CA9-8E5F-94F758B223E1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15C is the standard at which volumes are measured for medical gases</t>
        </r>
      </text>
    </comment>
    <comment ref="F10" authorId="0" shapeId="0" xr:uid="{AC9A113A-06F7-4DD3-912E-1B6E9280E2B0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Insert the numbers of cylinders used or returned (preferably), but not both, per year
</t>
        </r>
      </text>
    </comment>
    <comment ref="G10" authorId="0" shapeId="0" xr:uid="{0701C314-2D61-437E-BCA8-A7DD8621748B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Derives the CO2e from the CO2e per cylinder and the number of cylinders
</t>
        </r>
      </text>
    </comment>
    <comment ref="C16" authorId="0" shapeId="0" xr:uid="{5473B24B-5B8A-4024-B236-D8E67BE46971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The volume of nitrous oxide is taken as 50% of the total cylinder contents
Singapore values
</t>
        </r>
      </text>
    </comment>
    <comment ref="D16" authorId="0" shapeId="0" xr:uid="{8A537907-F416-4B7F-B07A-9E1E3771CC55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Derived from the pressure not the Mass
</t>
        </r>
      </text>
    </comment>
    <comment ref="F24" authorId="0" shapeId="0" xr:uid="{5C5DD505-A65B-49A3-99FC-B607A0B92F02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Insert number of bottles used per year
</t>
        </r>
      </text>
    </comment>
    <comment ref="G25" authorId="0" shapeId="0" xr:uid="{4F14D24E-7E9D-4A78-B7BC-12550E581612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E19 x F19
</t>
        </r>
      </text>
    </comment>
    <comment ref="F28" authorId="0" shapeId="0" xr:uid="{D6EFE29C-B34B-4737-8921-2DFE7E9726E4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= Sum of CO2e for the halogenated volatile 
</t>
        </r>
      </text>
    </comment>
    <comment ref="A31" authorId="0" shapeId="0" xr:uid="{B629A122-5A2A-48ED-86DF-4D95617E6384}">
      <text>
        <r>
          <rPr>
            <b/>
            <sz val="9"/>
            <color indexed="81"/>
            <rFont val="Tahoma"/>
            <family val="2"/>
          </rPr>
          <t>Dr Tom Pierce:</t>
        </r>
        <r>
          <rPr>
            <sz val="9"/>
            <color indexed="81"/>
            <rFont val="Tahoma"/>
            <family val="2"/>
          </rPr>
          <t xml:space="preserve">
Sum of nitrous oxide and halogen volatile
</t>
        </r>
      </text>
    </comment>
  </commentList>
</comments>
</file>

<file path=xl/sharedStrings.xml><?xml version="1.0" encoding="utf-8"?>
<sst xmlns="http://schemas.openxmlformats.org/spreadsheetml/2006/main" count="92" uniqueCount="51">
  <si>
    <t>Medical gas</t>
  </si>
  <si>
    <t>Cylinder code</t>
  </si>
  <si>
    <t>Volume nitrous oxide at 15C (l)</t>
  </si>
  <si>
    <t>Mass of nitrous oxide in cylinder (kg)</t>
  </si>
  <si>
    <t xml:space="preserve">CO2e per cylinder (T) </t>
  </si>
  <si>
    <t>CO2e (T)</t>
  </si>
  <si>
    <t>Nitrous oxide</t>
  </si>
  <si>
    <t>E</t>
  </si>
  <si>
    <t>F</t>
  </si>
  <si>
    <t>G</t>
  </si>
  <si>
    <t>J</t>
  </si>
  <si>
    <t>EA</t>
  </si>
  <si>
    <t>CD</t>
  </si>
  <si>
    <t>Portable Entonox</t>
  </si>
  <si>
    <t>D</t>
  </si>
  <si>
    <t>Pipeline Entonox</t>
  </si>
  <si>
    <t>ED</t>
  </si>
  <si>
    <t>Sevoflurane</t>
  </si>
  <si>
    <t>Isoflurane</t>
  </si>
  <si>
    <t>HX</t>
  </si>
  <si>
    <t>Desflurane</t>
  </si>
  <si>
    <t>EX</t>
  </si>
  <si>
    <t>TOTAL</t>
  </si>
  <si>
    <t>EW</t>
  </si>
  <si>
    <t>250ml</t>
  </si>
  <si>
    <t>240ml</t>
  </si>
  <si>
    <t>Vapour total</t>
  </si>
  <si>
    <t>Tonnes</t>
  </si>
  <si>
    <t>Annual Calculator</t>
  </si>
  <si>
    <r>
      <t>Entonox</t>
    </r>
    <r>
      <rPr>
        <sz val="11"/>
        <color theme="1"/>
        <rFont val="Calibri"/>
        <family val="2"/>
      </rPr>
      <t>®</t>
    </r>
  </si>
  <si>
    <r>
      <t xml:space="preserve">Entonox </t>
    </r>
    <r>
      <rPr>
        <sz val="11"/>
        <color theme="1"/>
        <rFont val="Calibri"/>
        <family val="2"/>
      </rPr>
      <t>® Manifold</t>
    </r>
  </si>
  <si>
    <t>AD</t>
  </si>
  <si>
    <t>F4</t>
  </si>
  <si>
    <t>Portable Equanox</t>
  </si>
  <si>
    <t>Pipeline Equanox</t>
  </si>
  <si>
    <t>Use of halogenated volatile</t>
  </si>
  <si>
    <r>
      <t>Equanox</t>
    </r>
    <r>
      <rPr>
        <b/>
        <sz val="11"/>
        <color theme="1"/>
        <rFont val="Calibri"/>
        <family val="2"/>
      </rPr>
      <t>®</t>
    </r>
  </si>
  <si>
    <t>%</t>
  </si>
  <si>
    <r>
      <t>Tonnes CO</t>
    </r>
    <r>
      <rPr>
        <vertAlign val="subscript"/>
        <sz val="12"/>
        <color theme="1"/>
        <rFont val="Century Gothic"/>
        <family val="2"/>
        <scheme val="minor"/>
      </rPr>
      <t>2</t>
    </r>
    <r>
      <rPr>
        <sz val="12"/>
        <color theme="1"/>
        <rFont val="Century Gothic"/>
        <family val="2"/>
        <scheme val="minor"/>
      </rPr>
      <t>e</t>
    </r>
  </si>
  <si>
    <r>
      <t>Overall CO</t>
    </r>
    <r>
      <rPr>
        <b/>
        <vertAlign val="subscript"/>
        <sz val="11"/>
        <color theme="1"/>
        <rFont val="Century Gothic"/>
        <family val="2"/>
        <scheme val="minor"/>
      </rPr>
      <t>2</t>
    </r>
    <r>
      <rPr>
        <b/>
        <sz val="11"/>
        <color theme="1"/>
        <rFont val="Century Gothic"/>
        <family val="2"/>
        <scheme val="minor"/>
      </rPr>
      <t>eq</t>
    </r>
  </si>
  <si>
    <t>Cylinder returns (No.)</t>
  </si>
  <si>
    <r>
      <t>Anaesthetic N</t>
    </r>
    <r>
      <rPr>
        <b/>
        <vertAlign val="subscript"/>
        <sz val="11"/>
        <color theme="1"/>
        <rFont val="Century Gothic"/>
        <family val="2"/>
        <scheme val="minor"/>
      </rPr>
      <t>2</t>
    </r>
    <r>
      <rPr>
        <b/>
        <sz val="11"/>
        <color theme="1"/>
        <rFont val="Century Gothic"/>
        <family val="2"/>
        <scheme val="minor"/>
      </rPr>
      <t>O total (Tonnes CO</t>
    </r>
    <r>
      <rPr>
        <b/>
        <vertAlign val="subscript"/>
        <sz val="11"/>
        <color theme="1"/>
        <rFont val="Century Gothic"/>
        <family val="2"/>
        <scheme val="minor"/>
      </rPr>
      <t>2</t>
    </r>
    <r>
      <rPr>
        <b/>
        <sz val="11"/>
        <color theme="1"/>
        <rFont val="Century Gothic"/>
        <family val="2"/>
        <scheme val="minor"/>
      </rPr>
      <t>e)</t>
    </r>
  </si>
  <si>
    <r>
      <t>Anaesthetic N</t>
    </r>
    <r>
      <rPr>
        <vertAlign val="subscript"/>
        <sz val="12"/>
        <color theme="1"/>
        <rFont val="Century Gothic"/>
        <family val="2"/>
        <scheme val="minor"/>
      </rPr>
      <t>2</t>
    </r>
    <r>
      <rPr>
        <sz val="12"/>
        <color theme="1"/>
        <rFont val="Century Gothic"/>
        <family val="2"/>
        <scheme val="minor"/>
      </rPr>
      <t>O</t>
    </r>
  </si>
  <si>
    <t>Vapour</t>
  </si>
  <si>
    <t>GWP</t>
  </si>
  <si>
    <t>Density</t>
  </si>
  <si>
    <t xml:space="preserve">Isoflurane </t>
  </si>
  <si>
    <t>GWP100</t>
  </si>
  <si>
    <t>Volume of bottle</t>
  </si>
  <si>
    <t>CO2e/bottle (T)</t>
  </si>
  <si>
    <t>Mass of a bottle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</si>
</sst>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6" x14ac:knownFonts="1">
    <font>
      <sz val="12"/>
      <color theme="1"/>
      <name val="Century Gothic"/>
      <family val="2"/>
      <scheme val="minor"/>
    </font>
    <font>
      <sz val="72"/>
      <color theme="8"/>
      <name val="Century Gothic"/>
      <family val="1"/>
      <scheme val="minor"/>
    </font>
    <font>
      <sz val="14"/>
      <color theme="1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entury Gothic"/>
      <family val="2"/>
      <scheme val="minor"/>
    </font>
    <font>
      <b/>
      <sz val="11"/>
      <color theme="2"/>
      <name val="Century Gothic"/>
      <family val="2"/>
      <scheme val="minor"/>
    </font>
    <font>
      <b/>
      <sz val="11"/>
      <color theme="1"/>
      <name val="Calibri"/>
      <family val="2"/>
    </font>
    <font>
      <sz val="12"/>
      <name val="Century Gothic"/>
      <family val="2"/>
      <scheme val="minor"/>
    </font>
    <font>
      <vertAlign val="subscript"/>
      <sz val="12"/>
      <color theme="1"/>
      <name val="Century Gothic"/>
      <family val="2"/>
      <scheme val="minor"/>
    </font>
    <font>
      <b/>
      <vertAlign val="subscript"/>
      <sz val="11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darkUp">
        <fgColor theme="7" tint="-0.499984740745262"/>
        <bgColor theme="0"/>
      </patternFill>
    </fill>
    <fill>
      <patternFill patternType="darkUp">
        <fgColor theme="7" tint="-0.499984740745262"/>
        <bgColor auto="1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64" fontId="0" fillId="0" borderId="0" xfId="0" applyNumberFormat="1"/>
    <xf numFmtId="2" fontId="0" fillId="0" borderId="0" xfId="0" applyNumberFormat="1"/>
    <xf numFmtId="0" fontId="5" fillId="0" borderId="0" xfId="0" applyFont="1"/>
    <xf numFmtId="2" fontId="5" fillId="0" borderId="0" xfId="0" applyNumberFormat="1" applyFont="1"/>
    <xf numFmtId="0" fontId="5" fillId="2" borderId="0" xfId="0" applyFont="1" applyFill="1"/>
    <xf numFmtId="2" fontId="5" fillId="2" borderId="0" xfId="0" applyNumberFormat="1" applyFont="1" applyFill="1"/>
    <xf numFmtId="0" fontId="0" fillId="2" borderId="0" xfId="0" applyFill="1"/>
    <xf numFmtId="0" fontId="9" fillId="0" borderId="0" xfId="0" applyFont="1"/>
    <xf numFmtId="2" fontId="9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10" fillId="5" borderId="1" xfId="0" applyFont="1" applyFill="1" applyBorder="1"/>
    <xf numFmtId="0" fontId="9" fillId="6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2" fontId="0" fillId="0" borderId="1" xfId="0" applyNumberFormat="1" applyBorder="1"/>
    <xf numFmtId="165" fontId="0" fillId="0" borderId="1" xfId="0" applyNumberFormat="1" applyBorder="1"/>
    <xf numFmtId="0" fontId="5" fillId="0" borderId="1" xfId="0" applyFont="1" applyBorder="1"/>
    <xf numFmtId="2" fontId="5" fillId="0" borderId="1" xfId="0" applyNumberFormat="1" applyFont="1" applyBorder="1"/>
    <xf numFmtId="165" fontId="5" fillId="0" borderId="1" xfId="0" applyNumberFormat="1" applyFon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0" fontId="9" fillId="0" borderId="1" xfId="0" applyFont="1" applyBorder="1"/>
    <xf numFmtId="164" fontId="9" fillId="0" borderId="1" xfId="0" applyNumberFormat="1" applyFont="1" applyBorder="1"/>
    <xf numFmtId="0" fontId="9" fillId="7" borderId="1" xfId="0" applyFont="1" applyFill="1" applyBorder="1"/>
    <xf numFmtId="0" fontId="5" fillId="2" borderId="5" xfId="0" applyFont="1" applyFill="1" applyBorder="1" applyAlignment="1"/>
    <xf numFmtId="0" fontId="12" fillId="2" borderId="1" xfId="0" applyFont="1" applyFill="1" applyBorder="1"/>
    <xf numFmtId="2" fontId="5" fillId="8" borderId="0" xfId="0" applyNumberFormat="1" applyFont="1" applyFill="1"/>
    <xf numFmtId="0" fontId="0" fillId="2" borderId="1" xfId="0" applyFill="1" applyBorder="1"/>
    <xf numFmtId="0" fontId="2" fillId="0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2" fontId="9" fillId="2" borderId="0" xfId="0" applyNumberFormat="1" applyFont="1" applyFill="1" applyAlignment="1">
      <alignment horizontal="left"/>
    </xf>
    <xf numFmtId="0" fontId="15" fillId="0" borderId="0" xfId="0" applyFont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11045C"/>
      <color rgb="FF1B07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Tonnes CO</a:t>
            </a:r>
            <a:r>
              <a:rPr lang="en-US" baseline="-25000"/>
              <a:t>2</a:t>
            </a:r>
            <a:r>
              <a:rPr lang="en-US"/>
              <a:t>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'BOC-Linde'!$L$9</c:f>
              <c:strCache>
                <c:ptCount val="1"/>
                <c:pt idx="0">
                  <c:v>Tonnes CO2e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12-4C01-A885-F7430022DCF1}"/>
              </c:ext>
            </c:extLst>
          </c:dPt>
          <c:dPt>
            <c:idx val="1"/>
            <c:bubble3D val="0"/>
            <c:spPr>
              <a:pattFill prst="wdUpDiag">
                <a:fgClr>
                  <a:srgbClr val="0070C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E12-4C01-A885-F7430022DCF1}"/>
              </c:ext>
            </c:extLst>
          </c:dPt>
          <c:dPt>
            <c:idx val="2"/>
            <c:bubble3D val="0"/>
            <c:spPr>
              <a:pattFill prst="pct90">
                <a:fgClr>
                  <a:srgbClr val="0070C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12-4C01-A885-F7430022DCF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E12-4C01-A885-F7430022DCF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12-4C01-A885-F7430022DCF1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E12-4C01-A885-F7430022DCF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'BOC-Linde'!$K$10:$K$15</c:f>
              <c:strCache>
                <c:ptCount val="6"/>
                <c:pt idx="0">
                  <c:v>Anaesthetic N2O</c:v>
                </c:pt>
                <c:pt idx="1">
                  <c:v>Portable Entonox</c:v>
                </c:pt>
                <c:pt idx="2">
                  <c:v>Pipeline Entonox</c:v>
                </c:pt>
                <c:pt idx="3">
                  <c:v>Sevoflurane</c:v>
                </c:pt>
                <c:pt idx="4">
                  <c:v>Isoflurane</c:v>
                </c:pt>
                <c:pt idx="5">
                  <c:v>Desflurane</c:v>
                </c:pt>
              </c:strCache>
            </c:strRef>
          </c:cat>
          <c:val>
            <c:numRef>
              <c:f>'BOC-Linde'!$L$10:$L$15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2-4C01-A885-F7430022D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Tonnes CO</a:t>
            </a:r>
            <a:r>
              <a:rPr lang="en-US" baseline="-25000"/>
              <a:t>2</a:t>
            </a:r>
            <a:r>
              <a:rPr lang="en-US"/>
              <a:t>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'Air Liquide'!$K$10</c:f>
              <c:strCache>
                <c:ptCount val="1"/>
                <c:pt idx="0">
                  <c:v>Tonnes CO2e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06-4E12-8F6D-49CC6BFE0D1A}"/>
              </c:ext>
            </c:extLst>
          </c:dPt>
          <c:dPt>
            <c:idx val="1"/>
            <c:bubble3D val="0"/>
            <c:spPr>
              <a:pattFill prst="dkUpDiag">
                <a:fgClr>
                  <a:srgbClr val="0070C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406-4E12-8F6D-49CC6BFE0D1A}"/>
              </c:ext>
            </c:extLst>
          </c:dPt>
          <c:dPt>
            <c:idx val="2"/>
            <c:bubble3D val="0"/>
            <c:spPr>
              <a:pattFill prst="pct90">
                <a:fgClr>
                  <a:srgbClr val="0070C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06-4E12-8F6D-49CC6BFE0D1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406-4E12-8F6D-49CC6BFE0D1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06-4E12-8F6D-49CC6BFE0D1A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406-4E12-8F6D-49CC6BFE0D1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'Air Liquide'!$J$11:$J$16</c:f>
              <c:strCache>
                <c:ptCount val="6"/>
                <c:pt idx="0">
                  <c:v>Anaesthetic N2O</c:v>
                </c:pt>
                <c:pt idx="1">
                  <c:v>Portable Equanox</c:v>
                </c:pt>
                <c:pt idx="2">
                  <c:v>Pipeline Equanox</c:v>
                </c:pt>
                <c:pt idx="3">
                  <c:v>Sevoflurane</c:v>
                </c:pt>
                <c:pt idx="4">
                  <c:v>Isoflurane</c:v>
                </c:pt>
                <c:pt idx="5">
                  <c:v>Desflurane</c:v>
                </c:pt>
              </c:strCache>
            </c:strRef>
          </c:cat>
          <c:val>
            <c:numRef>
              <c:f>'Air Liquide'!$K$11:$K$16</c:f>
              <c:numCache>
                <c:formatCode>0.00</c:formatCode>
                <c:ptCount val="6"/>
                <c:pt idx="0">
                  <c:v>889.73749999999995</c:v>
                </c:pt>
                <c:pt idx="1">
                  <c:v>487.6</c:v>
                </c:pt>
                <c:pt idx="2">
                  <c:v>609.5</c:v>
                </c:pt>
                <c:pt idx="3">
                  <c:v>152.26022400000002</c:v>
                </c:pt>
                <c:pt idx="4">
                  <c:v>92.553780000000003</c:v>
                </c:pt>
                <c:pt idx="5">
                  <c:v>445.66003200000006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6-4E12-8F6D-49CC6BFE0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1203089</xdr:colOff>
      <xdr:row>5</xdr:row>
      <xdr:rowOff>7810</xdr:rowOff>
    </xdr:to>
    <xdr:pic>
      <xdr:nvPicPr>
        <xdr:cNvPr id="2" name="Picture 1" descr="RCoA-AAGBI-logo.jpg">
          <a:extLst>
            <a:ext uri="{FF2B5EF4-FFF2-40B4-BE49-F238E27FC236}">
              <a16:creationId xmlns:a16="http://schemas.microsoft.com/office/drawing/2014/main" id="{5F3300A3-722E-4AAA-BE5C-ABCE26F12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3432" cy="1146048"/>
        </a:xfrm>
        <a:prstGeom prst="rect">
          <a:avLst/>
        </a:prstGeom>
      </xdr:spPr>
    </xdr:pic>
    <xdr:clientData/>
  </xdr:twoCellAnchor>
  <xdr:twoCellAnchor>
    <xdr:from>
      <xdr:col>10</xdr:col>
      <xdr:colOff>81139</xdr:colOff>
      <xdr:row>17</xdr:row>
      <xdr:rowOff>99482</xdr:rowOff>
    </xdr:from>
    <xdr:to>
      <xdr:col>13</xdr:col>
      <xdr:colOff>824971</xdr:colOff>
      <xdr:row>30</xdr:row>
      <xdr:rowOff>164569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92F3E9-59AF-4287-A15A-CA00C458C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424835</xdr:colOff>
      <xdr:row>5</xdr:row>
      <xdr:rowOff>7810</xdr:rowOff>
    </xdr:to>
    <xdr:pic>
      <xdr:nvPicPr>
        <xdr:cNvPr id="3" name="Picture 2" descr="RCoA-AAGBI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52032" cy="1146048"/>
        </a:xfrm>
        <a:prstGeom prst="rect">
          <a:avLst/>
        </a:prstGeom>
      </xdr:spPr>
    </xdr:pic>
    <xdr:clientData/>
  </xdr:twoCellAnchor>
  <xdr:twoCellAnchor>
    <xdr:from>
      <xdr:col>9</xdr:col>
      <xdr:colOff>36512</xdr:colOff>
      <xdr:row>18</xdr:row>
      <xdr:rowOff>41276</xdr:rowOff>
    </xdr:from>
    <xdr:to>
      <xdr:col>12</xdr:col>
      <xdr:colOff>423333</xdr:colOff>
      <xdr:row>28</xdr:row>
      <xdr:rowOff>185208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5A52C4-FA37-4462-AA9A-F7FA6B5A1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RCoAThem">
  <a:themeElements>
    <a:clrScheme name="RCoA Branding 2016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291F51"/>
      </a:accent1>
      <a:accent2>
        <a:srgbClr val="50ABBF"/>
      </a:accent2>
      <a:accent3>
        <a:srgbClr val="8A5D9A"/>
      </a:accent3>
      <a:accent4>
        <a:srgbClr val="83B9E2"/>
      </a:accent4>
      <a:accent5>
        <a:srgbClr val="CD6084"/>
      </a:accent5>
      <a:accent6>
        <a:srgbClr val="888A88"/>
      </a:accent6>
      <a:hlink>
        <a:srgbClr val="50ABBF"/>
      </a:hlink>
      <a:folHlink>
        <a:srgbClr val="800080"/>
      </a:folHlink>
    </a:clrScheme>
    <a:fontScheme name="RCoA Branding Font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D33E8-DFE9-4242-81E2-B18050BFA7D9}">
  <dimension ref="A1:G5"/>
  <sheetViews>
    <sheetView workbookViewId="0">
      <selection activeCell="B6" sqref="B6"/>
    </sheetView>
  </sheetViews>
  <sheetFormatPr defaultRowHeight="16" x14ac:dyDescent="0.35"/>
  <cols>
    <col min="1" max="1" width="13.15234375" customWidth="1"/>
    <col min="4" max="4" width="14.23046875" customWidth="1"/>
    <col min="5" max="5" width="16.15234375" customWidth="1"/>
  </cols>
  <sheetData>
    <row r="1" spans="1:7" s="41" customFormat="1" ht="12.5" x14ac:dyDescent="0.25">
      <c r="A1" s="41" t="s">
        <v>43</v>
      </c>
      <c r="B1" s="41" t="s">
        <v>47</v>
      </c>
      <c r="C1" s="41" t="s">
        <v>45</v>
      </c>
      <c r="D1" s="41" t="s">
        <v>48</v>
      </c>
      <c r="E1" s="41" t="s">
        <v>50</v>
      </c>
      <c r="F1" s="41" t="s">
        <v>44</v>
      </c>
      <c r="G1" s="41" t="s">
        <v>49</v>
      </c>
    </row>
    <row r="2" spans="1:7" x14ac:dyDescent="0.35">
      <c r="A2" t="s">
        <v>6</v>
      </c>
      <c r="B2">
        <v>265</v>
      </c>
    </row>
    <row r="3" spans="1:7" x14ac:dyDescent="0.35">
      <c r="A3" t="s">
        <v>17</v>
      </c>
      <c r="B3">
        <v>205</v>
      </c>
      <c r="C3">
        <v>1.52</v>
      </c>
      <c r="D3">
        <v>250</v>
      </c>
      <c r="E3">
        <f>(C3*D3)/1000</f>
        <v>0.38</v>
      </c>
      <c r="F3">
        <f>B3</f>
        <v>205</v>
      </c>
      <c r="G3">
        <f>E3*F3/1000</f>
        <v>7.7900000000000011E-2</v>
      </c>
    </row>
    <row r="4" spans="1:7" x14ac:dyDescent="0.35">
      <c r="A4" t="s">
        <v>46</v>
      </c>
      <c r="B4">
        <v>565</v>
      </c>
      <c r="C4">
        <v>1.496</v>
      </c>
      <c r="D4">
        <v>250</v>
      </c>
      <c r="E4">
        <f t="shared" ref="E4:E5" si="0">(C4*D4)/1000</f>
        <v>0.374</v>
      </c>
      <c r="F4">
        <f t="shared" ref="F4:F5" si="1">B4</f>
        <v>565</v>
      </c>
      <c r="G4">
        <f t="shared" ref="G4:G5" si="2">E4*F4/1000</f>
        <v>0.21131</v>
      </c>
    </row>
    <row r="5" spans="1:7" x14ac:dyDescent="0.35">
      <c r="A5" t="s">
        <v>20</v>
      </c>
      <c r="B5">
        <v>2720</v>
      </c>
      <c r="C5">
        <v>1.4650000000000001</v>
      </c>
      <c r="D5">
        <v>240</v>
      </c>
      <c r="E5">
        <f t="shared" si="0"/>
        <v>0.35160000000000002</v>
      </c>
      <c r="F5">
        <f t="shared" si="1"/>
        <v>2720</v>
      </c>
      <c r="G5">
        <f t="shared" si="2"/>
        <v>0.95635200000000009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314F-F507-4FB4-8007-EC00F70A96EB}">
  <dimension ref="A1:M35"/>
  <sheetViews>
    <sheetView showGridLines="0" tabSelected="1" topLeftCell="A11" zoomScale="70" zoomScaleNormal="70" workbookViewId="0">
      <selection activeCell="F28" sqref="F28"/>
    </sheetView>
  </sheetViews>
  <sheetFormatPr defaultColWidth="11.15234375" defaultRowHeight="16" x14ac:dyDescent="0.35"/>
  <cols>
    <col min="1" max="1" width="13.15234375" customWidth="1"/>
    <col min="2" max="2" width="30.07421875" style="38" customWidth="1"/>
    <col min="3" max="3" width="16.07421875" customWidth="1"/>
    <col min="4" max="4" width="16.69140625" customWidth="1"/>
    <col min="5" max="5" width="18.4609375" customWidth="1"/>
    <col min="6" max="6" width="27.69140625" customWidth="1"/>
    <col min="7" max="7" width="11" customWidth="1"/>
    <col min="9" max="9" width="11.15234375" customWidth="1"/>
    <col min="10" max="10" width="2.69140625" customWidth="1"/>
    <col min="11" max="11" width="17.3828125" customWidth="1"/>
    <col min="12" max="12" width="14.3046875" customWidth="1"/>
  </cols>
  <sheetData>
    <row r="1" spans="1:13" s="1" customFormat="1" ht="18" x14ac:dyDescent="0.35">
      <c r="B1" s="36"/>
      <c r="E1" s="2"/>
      <c r="G1" s="3"/>
      <c r="L1" s="3"/>
    </row>
    <row r="2" spans="1:13" s="1" customFormat="1" ht="18" x14ac:dyDescent="0.35">
      <c r="B2" s="36"/>
      <c r="E2" s="2"/>
      <c r="G2" s="3"/>
      <c r="L2" s="3"/>
    </row>
    <row r="3" spans="1:13" s="1" customFormat="1" ht="18" x14ac:dyDescent="0.35">
      <c r="B3" s="36"/>
      <c r="E3" s="2"/>
      <c r="G3" s="3"/>
      <c r="L3" s="3"/>
    </row>
    <row r="4" spans="1:13" s="1" customFormat="1" ht="18" x14ac:dyDescent="0.35">
      <c r="B4" s="36"/>
      <c r="E4" s="2"/>
      <c r="G4" s="3"/>
      <c r="L4" s="3"/>
    </row>
    <row r="5" spans="1:13" s="1" customFormat="1" ht="18" x14ac:dyDescent="0.35">
      <c r="B5" s="36"/>
      <c r="E5" s="2"/>
      <c r="G5" s="3"/>
      <c r="L5" s="3"/>
    </row>
    <row r="6" spans="1:13" s="1" customFormat="1" ht="18" x14ac:dyDescent="0.35">
      <c r="B6" s="36"/>
      <c r="E6" s="2"/>
      <c r="G6" s="3"/>
      <c r="L6" s="3"/>
    </row>
    <row r="7" spans="1:13" s="1" customFormat="1" ht="18" hidden="1" x14ac:dyDescent="0.35">
      <c r="B7" s="36"/>
      <c r="E7" s="2"/>
      <c r="G7" s="3"/>
      <c r="L7" s="3"/>
    </row>
    <row r="8" spans="1:13" s="1" customFormat="1" ht="89.5" x14ac:dyDescent="1.65">
      <c r="A8" s="4" t="s">
        <v>28</v>
      </c>
      <c r="B8" s="36"/>
      <c r="E8" s="2"/>
      <c r="G8" s="3"/>
      <c r="L8" s="3"/>
    </row>
    <row r="9" spans="1:13" s="5" customFormat="1" ht="18" x14ac:dyDescent="0.45">
      <c r="A9" s="15" t="s">
        <v>0</v>
      </c>
      <c r="B9" s="37" t="s">
        <v>1</v>
      </c>
      <c r="C9" s="15" t="s">
        <v>2</v>
      </c>
      <c r="D9" s="15" t="s">
        <v>3</v>
      </c>
      <c r="E9" s="16" t="s">
        <v>4</v>
      </c>
      <c r="F9" s="15" t="s">
        <v>40</v>
      </c>
      <c r="G9" s="7" t="s">
        <v>5</v>
      </c>
      <c r="H9"/>
      <c r="I9"/>
      <c r="J9"/>
      <c r="K9" s="15"/>
      <c r="L9" s="21" t="s">
        <v>38</v>
      </c>
      <c r="M9" s="15" t="s">
        <v>37</v>
      </c>
    </row>
    <row r="10" spans="1:13" s="5" customFormat="1" ht="18" x14ac:dyDescent="0.45">
      <c r="A10" s="45" t="s">
        <v>6</v>
      </c>
      <c r="B10" s="37" t="s">
        <v>7</v>
      </c>
      <c r="C10" s="15">
        <v>1800</v>
      </c>
      <c r="D10" s="15">
        <v>3.5</v>
      </c>
      <c r="E10" s="16">
        <f>(D10*Settings!B2)/1000</f>
        <v>0.92749999999999999</v>
      </c>
      <c r="F10" s="17"/>
      <c r="G10" s="7">
        <f>E10*F10</f>
        <v>0</v>
      </c>
      <c r="H10"/>
      <c r="I10"/>
      <c r="J10"/>
      <c r="K10" s="15" t="s">
        <v>42</v>
      </c>
      <c r="L10" s="21">
        <f>SUM(G10+G12+G13)</f>
        <v>0</v>
      </c>
      <c r="M10" s="22" t="e">
        <f>(L10/L16)*100</f>
        <v>#DIV/0!</v>
      </c>
    </row>
    <row r="11" spans="1:13" s="5" customFormat="1" x14ac:dyDescent="0.35">
      <c r="A11" s="46"/>
      <c r="B11" s="37" t="s">
        <v>8</v>
      </c>
      <c r="C11" s="15">
        <v>3600</v>
      </c>
      <c r="D11" s="15">
        <v>6.7</v>
      </c>
      <c r="E11" s="16">
        <f>(D11*Settings!B2)/1000</f>
        <v>1.7755000000000001</v>
      </c>
      <c r="F11" s="17"/>
      <c r="G11" s="7">
        <f t="shared" ref="G11:G30" si="0">E11*F11</f>
        <v>0</v>
      </c>
      <c r="H11"/>
      <c r="I11"/>
      <c r="J11"/>
      <c r="K11" s="15" t="s">
        <v>13</v>
      </c>
      <c r="L11" s="21">
        <f>SUM(G16:G21)</f>
        <v>0</v>
      </c>
      <c r="M11" s="22" t="e">
        <f>(L11/L16)*100</f>
        <v>#DIV/0!</v>
      </c>
    </row>
    <row r="12" spans="1:13" s="5" customFormat="1" x14ac:dyDescent="0.35">
      <c r="A12" s="46"/>
      <c r="B12" s="37" t="s">
        <v>9</v>
      </c>
      <c r="C12" s="15">
        <v>9000</v>
      </c>
      <c r="D12" s="15">
        <v>16.75</v>
      </c>
      <c r="E12" s="16">
        <f>(D12*Settings!B2)/1000</f>
        <v>4.4387499999999998</v>
      </c>
      <c r="F12" s="17"/>
      <c r="G12" s="7">
        <f t="shared" si="0"/>
        <v>0</v>
      </c>
      <c r="H12"/>
      <c r="I12"/>
      <c r="J12"/>
      <c r="K12" s="15" t="s">
        <v>15</v>
      </c>
      <c r="L12" s="21">
        <f>SUM(G23:G24)</f>
        <v>0</v>
      </c>
      <c r="M12" s="22" t="e">
        <f>(L12/L16)*100</f>
        <v>#DIV/0!</v>
      </c>
    </row>
    <row r="13" spans="1:13" x14ac:dyDescent="0.35">
      <c r="A13" s="47"/>
      <c r="B13" s="37" t="s">
        <v>10</v>
      </c>
      <c r="C13" s="15">
        <v>18000</v>
      </c>
      <c r="D13" s="15">
        <v>33.5</v>
      </c>
      <c r="E13" s="16">
        <f>(D13*Settings!B2)/1000</f>
        <v>8.8774999999999995</v>
      </c>
      <c r="F13" s="17">
        <v>0</v>
      </c>
      <c r="G13" s="7">
        <f t="shared" si="0"/>
        <v>0</v>
      </c>
      <c r="K13" s="15" t="s">
        <v>17</v>
      </c>
      <c r="L13" s="21">
        <f>G28</f>
        <v>0</v>
      </c>
      <c r="M13" s="22" t="e">
        <f>(L13/L16)*100</f>
        <v>#DIV/0!</v>
      </c>
    </row>
    <row r="14" spans="1:13" x14ac:dyDescent="0.35">
      <c r="E14" s="16">
        <f>(D14*Settings!B2)/1000</f>
        <v>0</v>
      </c>
      <c r="G14" s="7">
        <f t="shared" si="0"/>
        <v>0</v>
      </c>
      <c r="K14" s="15" t="s">
        <v>18</v>
      </c>
      <c r="L14" s="21">
        <f>G29</f>
        <v>0</v>
      </c>
      <c r="M14" s="22" t="e">
        <f>(L14/L16)*100</f>
        <v>#DIV/0!</v>
      </c>
    </row>
    <row r="15" spans="1:13" ht="15.75" customHeight="1" x14ac:dyDescent="0.35">
      <c r="A15" s="42" t="s">
        <v>29</v>
      </c>
      <c r="B15" s="37" t="s">
        <v>11</v>
      </c>
      <c r="C15" s="15">
        <v>175</v>
      </c>
      <c r="D15" s="15">
        <v>0.33</v>
      </c>
      <c r="E15" s="16">
        <f>(D15*Settings!B2)/1000</f>
        <v>8.745E-2</v>
      </c>
      <c r="F15" s="18"/>
      <c r="G15" s="7">
        <f t="shared" si="0"/>
        <v>0</v>
      </c>
      <c r="K15" s="15" t="s">
        <v>20</v>
      </c>
      <c r="L15" s="21">
        <f>G30</f>
        <v>0</v>
      </c>
      <c r="M15" s="22" t="e">
        <f>(L15/L16)*100</f>
        <v>#DIV/0!</v>
      </c>
    </row>
    <row r="16" spans="1:13" x14ac:dyDescent="0.35">
      <c r="A16" s="43"/>
      <c r="B16" s="37" t="s">
        <v>12</v>
      </c>
      <c r="C16" s="15">
        <v>220</v>
      </c>
      <c r="D16" s="15">
        <v>0.41</v>
      </c>
      <c r="E16" s="16">
        <f>(D16*Settings!B2)/1000</f>
        <v>0.10865</v>
      </c>
      <c r="F16" s="18"/>
      <c r="G16" s="7">
        <f t="shared" si="0"/>
        <v>0</v>
      </c>
      <c r="K16" s="23" t="s">
        <v>22</v>
      </c>
      <c r="L16" s="24">
        <f>SUM(L10:L15)</f>
        <v>0</v>
      </c>
      <c r="M16" s="25" t="e">
        <f>SUM(M10:M15)</f>
        <v>#DIV/0!</v>
      </c>
    </row>
    <row r="17" spans="1:12" x14ac:dyDescent="0.35">
      <c r="A17" s="43"/>
      <c r="B17" s="37" t="s">
        <v>14</v>
      </c>
      <c r="C17" s="15">
        <v>250</v>
      </c>
      <c r="D17" s="15">
        <v>0.46</v>
      </c>
      <c r="E17" s="16">
        <f>(D17*Settings!B2)/1000</f>
        <v>0.12190000000000001</v>
      </c>
      <c r="F17" s="18"/>
      <c r="G17" s="7">
        <f t="shared" si="0"/>
        <v>0</v>
      </c>
    </row>
    <row r="18" spans="1:12" x14ac:dyDescent="0.35">
      <c r="A18" s="43"/>
      <c r="B18" s="37" t="s">
        <v>16</v>
      </c>
      <c r="C18" s="15">
        <v>350</v>
      </c>
      <c r="D18" s="15">
        <v>0.64300000000000002</v>
      </c>
      <c r="E18" s="16">
        <f>(D18*Settings!B2)/1000</f>
        <v>0.17039500000000002</v>
      </c>
      <c r="F18" s="18"/>
      <c r="G18" s="7">
        <f t="shared" si="0"/>
        <v>0</v>
      </c>
    </row>
    <row r="19" spans="1:12" x14ac:dyDescent="0.35">
      <c r="A19" s="43"/>
      <c r="B19" s="37" t="s">
        <v>8</v>
      </c>
      <c r="C19" s="15">
        <v>1000</v>
      </c>
      <c r="D19" s="15">
        <v>1.8380000000000001</v>
      </c>
      <c r="E19" s="16">
        <f>(D19*Settings!B2)/1000</f>
        <v>0.48707</v>
      </c>
      <c r="F19" s="18"/>
      <c r="G19" s="7">
        <f t="shared" si="0"/>
        <v>0</v>
      </c>
    </row>
    <row r="20" spans="1:12" x14ac:dyDescent="0.35">
      <c r="A20" s="43"/>
      <c r="B20" s="37" t="s">
        <v>19</v>
      </c>
      <c r="C20" s="15">
        <v>1100</v>
      </c>
      <c r="D20" s="15">
        <v>2.0499999999999998</v>
      </c>
      <c r="E20" s="16">
        <f>(D20*Settings!B2)/1000</f>
        <v>0.54325000000000001</v>
      </c>
      <c r="F20" s="18"/>
      <c r="G20" s="7">
        <f t="shared" si="0"/>
        <v>0</v>
      </c>
    </row>
    <row r="21" spans="1:12" x14ac:dyDescent="0.35">
      <c r="A21" s="44"/>
      <c r="B21" s="37" t="s">
        <v>21</v>
      </c>
      <c r="C21" s="15">
        <v>1750</v>
      </c>
      <c r="D21" s="15">
        <v>3.2160000000000002</v>
      </c>
      <c r="E21" s="16">
        <f>(D21*Settings!B2)/1000</f>
        <v>0.85224</v>
      </c>
      <c r="F21" s="18"/>
      <c r="G21" s="7">
        <f t="shared" si="0"/>
        <v>0</v>
      </c>
    </row>
    <row r="22" spans="1:12" x14ac:dyDescent="0.35">
      <c r="E22" s="16">
        <f>(D22*Settings!B2)/1000</f>
        <v>0</v>
      </c>
      <c r="G22" s="7"/>
      <c r="L22" s="7"/>
    </row>
    <row r="23" spans="1:12" ht="15.75" customHeight="1" x14ac:dyDescent="0.35">
      <c r="A23" s="48" t="s">
        <v>30</v>
      </c>
      <c r="B23" s="37" t="s">
        <v>9</v>
      </c>
      <c r="C23" s="15">
        <v>2500</v>
      </c>
      <c r="D23" s="15">
        <v>4.5940000000000003</v>
      </c>
      <c r="E23" s="16">
        <f>(D23*Settings!B2)/1000</f>
        <v>1.2174100000000001</v>
      </c>
      <c r="F23" s="18"/>
      <c r="G23" s="7">
        <f t="shared" si="0"/>
        <v>0</v>
      </c>
      <c r="L23" s="7"/>
    </row>
    <row r="24" spans="1:12" x14ac:dyDescent="0.35">
      <c r="A24" s="49"/>
      <c r="B24" s="37" t="s">
        <v>23</v>
      </c>
      <c r="C24" s="15">
        <v>8138</v>
      </c>
      <c r="D24" s="15">
        <v>14.956</v>
      </c>
      <c r="E24" s="16">
        <f>(D24*Settings!B2)/1000</f>
        <v>3.9633399999999996</v>
      </c>
      <c r="F24" s="18"/>
      <c r="G24" s="7">
        <f t="shared" si="0"/>
        <v>0</v>
      </c>
      <c r="L24" s="7"/>
    </row>
    <row r="25" spans="1:12" x14ac:dyDescent="0.35">
      <c r="A25" s="26"/>
      <c r="B25" s="39"/>
      <c r="C25" s="27"/>
      <c r="D25" s="27"/>
      <c r="E25" s="28"/>
      <c r="G25" s="7"/>
      <c r="L25" s="7"/>
    </row>
    <row r="26" spans="1:12" ht="16.5" x14ac:dyDescent="0.4">
      <c r="A26" s="50" t="s">
        <v>41</v>
      </c>
      <c r="B26" s="50"/>
      <c r="C26" s="32"/>
      <c r="D26" s="32"/>
      <c r="E26" s="32"/>
      <c r="F26" s="11">
        <f>SUM(G10:G24)-G11</f>
        <v>0</v>
      </c>
      <c r="L26" s="7"/>
    </row>
    <row r="27" spans="1:12" x14ac:dyDescent="0.35">
      <c r="A27" s="15"/>
      <c r="B27" s="37"/>
      <c r="C27" s="15"/>
      <c r="D27" s="15"/>
      <c r="E27" s="16"/>
      <c r="F27" s="15" t="s">
        <v>35</v>
      </c>
      <c r="G27" s="7"/>
      <c r="L27" s="7"/>
    </row>
    <row r="28" spans="1:12" x14ac:dyDescent="0.35">
      <c r="A28" s="15" t="s">
        <v>17</v>
      </c>
      <c r="B28" s="37" t="s">
        <v>24</v>
      </c>
      <c r="C28" s="15"/>
      <c r="D28" s="15"/>
      <c r="E28" s="16">
        <f>Settings!G3</f>
        <v>7.7900000000000011E-2</v>
      </c>
      <c r="F28" s="19"/>
      <c r="G28" s="7">
        <f>(E28*F28)*0.96</f>
        <v>0</v>
      </c>
      <c r="L28" s="7"/>
    </row>
    <row r="29" spans="1:12" x14ac:dyDescent="0.35">
      <c r="A29" s="15" t="s">
        <v>18</v>
      </c>
      <c r="B29" s="37" t="s">
        <v>24</v>
      </c>
      <c r="C29" s="15"/>
      <c r="D29" s="15"/>
      <c r="E29" s="16">
        <f>Settings!G4</f>
        <v>0.21131</v>
      </c>
      <c r="F29" s="33">
        <v>0</v>
      </c>
      <c r="G29" s="7">
        <f t="shared" si="0"/>
        <v>0</v>
      </c>
      <c r="L29" s="7"/>
    </row>
    <row r="30" spans="1:12" x14ac:dyDescent="0.35">
      <c r="A30" s="15" t="s">
        <v>20</v>
      </c>
      <c r="B30" s="37" t="s">
        <v>25</v>
      </c>
      <c r="C30" s="15"/>
      <c r="D30" s="15"/>
      <c r="E30" s="16">
        <f>Settings!G5</f>
        <v>0.95635200000000009</v>
      </c>
      <c r="F30" s="20"/>
      <c r="G30" s="7">
        <f t="shared" si="0"/>
        <v>0</v>
      </c>
      <c r="L30" s="7"/>
    </row>
    <row r="31" spans="1:12" x14ac:dyDescent="0.35">
      <c r="A31" s="8" t="s">
        <v>26</v>
      </c>
      <c r="E31" s="6"/>
      <c r="F31" s="34">
        <f>SUM(G28:G30)</f>
        <v>0</v>
      </c>
      <c r="L31" s="7"/>
    </row>
    <row r="32" spans="1:12" x14ac:dyDescent="0.35">
      <c r="E32" s="6"/>
      <c r="G32" s="7"/>
      <c r="L32" s="7"/>
    </row>
    <row r="33" spans="1:12" ht="16.5" x14ac:dyDescent="0.4">
      <c r="A33" s="10" t="s">
        <v>39</v>
      </c>
      <c r="B33" s="40">
        <f xml:space="preserve"> F26+F31</f>
        <v>0</v>
      </c>
      <c r="C33" s="12" t="s">
        <v>27</v>
      </c>
      <c r="E33" s="6"/>
      <c r="G33" s="7"/>
      <c r="L33" s="7"/>
    </row>
    <row r="34" spans="1:12" x14ac:dyDescent="0.35">
      <c r="E34" s="6"/>
      <c r="G34" s="7"/>
      <c r="L34" s="7"/>
    </row>
    <row r="35" spans="1:12" x14ac:dyDescent="0.35">
      <c r="E35" s="6"/>
      <c r="G35" s="7"/>
      <c r="L35" s="7"/>
    </row>
  </sheetData>
  <mergeCells count="4">
    <mergeCell ref="A15:A21"/>
    <mergeCell ref="A10:A13"/>
    <mergeCell ref="A23:A24"/>
    <mergeCell ref="A26:B26"/>
  </mergeCell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showGridLines="0" topLeftCell="A7" zoomScale="60" zoomScaleNormal="60" workbookViewId="0">
      <selection activeCell="E27" sqref="E27"/>
    </sheetView>
  </sheetViews>
  <sheetFormatPr defaultColWidth="11.15234375" defaultRowHeight="16" x14ac:dyDescent="0.35"/>
  <cols>
    <col min="1" max="1" width="19.3828125" customWidth="1"/>
    <col min="2" max="2" width="17.07421875" customWidth="1"/>
    <col min="3" max="3" width="12.53515625" customWidth="1"/>
    <col min="4" max="4" width="10.15234375" customWidth="1"/>
    <col min="5" max="5" width="10.53515625" customWidth="1"/>
    <col min="6" max="6" width="24.84375" customWidth="1"/>
    <col min="7" max="7" width="11.23046875" customWidth="1"/>
    <col min="10" max="10" width="22.3828125" customWidth="1"/>
    <col min="11" max="11" width="18.53515625" customWidth="1"/>
  </cols>
  <sheetData>
    <row r="1" spans="1:12" s="1" customFormat="1" ht="18" x14ac:dyDescent="0.35">
      <c r="E1" s="2"/>
      <c r="G1" s="3"/>
      <c r="L1" s="3"/>
    </row>
    <row r="2" spans="1:12" s="1" customFormat="1" ht="18" x14ac:dyDescent="0.35">
      <c r="E2" s="2"/>
      <c r="G2" s="3"/>
      <c r="L2" s="3"/>
    </row>
    <row r="3" spans="1:12" s="1" customFormat="1" ht="18" x14ac:dyDescent="0.35">
      <c r="E3" s="2"/>
      <c r="G3" s="3"/>
      <c r="L3" s="3"/>
    </row>
    <row r="4" spans="1:12" s="1" customFormat="1" ht="18" x14ac:dyDescent="0.35">
      <c r="E4" s="2"/>
      <c r="G4" s="3"/>
      <c r="L4" s="3"/>
    </row>
    <row r="5" spans="1:12" s="1" customFormat="1" ht="18" x14ac:dyDescent="0.35">
      <c r="E5" s="2"/>
      <c r="G5" s="3"/>
      <c r="L5" s="3"/>
    </row>
    <row r="6" spans="1:12" s="1" customFormat="1" ht="18" x14ac:dyDescent="0.35">
      <c r="E6" s="2"/>
      <c r="G6" s="3"/>
      <c r="L6" s="3"/>
    </row>
    <row r="7" spans="1:12" s="1" customFormat="1" ht="18" x14ac:dyDescent="0.35">
      <c r="E7" s="2"/>
      <c r="G7" s="3"/>
      <c r="L7" s="3"/>
    </row>
    <row r="8" spans="1:12" s="1" customFormat="1" ht="89.5" x14ac:dyDescent="1.65">
      <c r="A8" s="4" t="s">
        <v>28</v>
      </c>
      <c r="E8" s="2"/>
      <c r="G8" s="3"/>
      <c r="L8" s="3"/>
    </row>
    <row r="9" spans="1:12" s="5" customFormat="1" x14ac:dyDescent="0.35"/>
    <row r="10" spans="1:12" s="5" customFormat="1" ht="18" x14ac:dyDescent="0.45">
      <c r="A10" s="29" t="s">
        <v>0</v>
      </c>
      <c r="B10" s="29" t="s">
        <v>1</v>
      </c>
      <c r="C10" s="29" t="s">
        <v>2</v>
      </c>
      <c r="D10" s="29" t="s">
        <v>3</v>
      </c>
      <c r="E10" s="30" t="s">
        <v>4</v>
      </c>
      <c r="F10" s="29" t="s">
        <v>40</v>
      </c>
      <c r="G10" s="14"/>
      <c r="H10"/>
      <c r="I10"/>
      <c r="J10" s="15"/>
      <c r="K10" s="21" t="s">
        <v>38</v>
      </c>
      <c r="L10" s="15" t="s">
        <v>37</v>
      </c>
    </row>
    <row r="11" spans="1:12" s="5" customFormat="1" ht="18" x14ac:dyDescent="0.45">
      <c r="A11" s="29" t="s">
        <v>6</v>
      </c>
      <c r="B11" s="15" t="s">
        <v>14</v>
      </c>
      <c r="C11" s="15">
        <v>900</v>
      </c>
      <c r="D11" s="15">
        <f>1.65</f>
        <v>1.65</v>
      </c>
      <c r="E11" s="16">
        <f>(D11*Settings!B2)/1000</f>
        <v>0.43725000000000003</v>
      </c>
      <c r="F11" s="17">
        <v>30</v>
      </c>
      <c r="G11" s="7">
        <f>E11*F11</f>
        <v>13.117500000000001</v>
      </c>
      <c r="H11"/>
      <c r="I11"/>
      <c r="J11" s="15" t="s">
        <v>42</v>
      </c>
      <c r="K11" s="21">
        <f>SUM(G11+G12+G14)</f>
        <v>889.73749999999995</v>
      </c>
      <c r="L11" s="22">
        <f>(K11/K17)*100</f>
        <v>33.232497900834495</v>
      </c>
    </row>
    <row r="12" spans="1:12" s="5" customFormat="1" x14ac:dyDescent="0.35">
      <c r="A12" s="15"/>
      <c r="B12" s="15" t="s">
        <v>7</v>
      </c>
      <c r="C12" s="15">
        <v>1800</v>
      </c>
      <c r="D12" s="15">
        <v>3.31</v>
      </c>
      <c r="E12" s="16">
        <f>(D12*Settings!B2)/1000</f>
        <v>0.87714999999999999</v>
      </c>
      <c r="F12" s="17"/>
      <c r="G12" s="7">
        <f t="shared" ref="G12:G20" si="0">E12*F12</f>
        <v>0</v>
      </c>
      <c r="H12"/>
      <c r="I12"/>
      <c r="J12" s="15" t="s">
        <v>33</v>
      </c>
      <c r="K12" s="21">
        <f>SUM(G16:G19)</f>
        <v>487.6</v>
      </c>
      <c r="L12" s="22">
        <f>(K12/K17)*100</f>
        <v>18.212299668662837</v>
      </c>
    </row>
    <row r="13" spans="1:12" x14ac:dyDescent="0.35">
      <c r="A13" s="15"/>
      <c r="B13" s="15" t="s">
        <v>8</v>
      </c>
      <c r="C13" s="15">
        <v>3600</v>
      </c>
      <c r="D13" s="15">
        <v>6.62</v>
      </c>
      <c r="E13" s="16">
        <f>(D13*Settings!B2)/1000</f>
        <v>1.7543</v>
      </c>
      <c r="F13" s="17"/>
      <c r="G13" s="7">
        <f t="shared" si="0"/>
        <v>0</v>
      </c>
      <c r="J13" s="15" t="s">
        <v>34</v>
      </c>
      <c r="K13" s="21">
        <f>G20</f>
        <v>609.5</v>
      </c>
      <c r="L13" s="22">
        <f>(K13/K17)*100</f>
        <v>22.765374585828546</v>
      </c>
    </row>
    <row r="14" spans="1:12" x14ac:dyDescent="0.35">
      <c r="A14" s="15"/>
      <c r="B14" s="15" t="s">
        <v>9</v>
      </c>
      <c r="C14" s="15">
        <v>9000</v>
      </c>
      <c r="D14" s="15">
        <v>16.54</v>
      </c>
      <c r="E14" s="16">
        <f>(D14*Settings!B2)/1000</f>
        <v>4.3830999999999998</v>
      </c>
      <c r="F14" s="17">
        <v>200</v>
      </c>
      <c r="G14" s="7">
        <f t="shared" si="0"/>
        <v>876.62</v>
      </c>
      <c r="J14" s="15" t="s">
        <v>17</v>
      </c>
      <c r="K14" s="21">
        <f>G25</f>
        <v>152.26022400000002</v>
      </c>
      <c r="L14" s="22">
        <f>(K14/K17)*100</f>
        <v>5.6870566593636784</v>
      </c>
    </row>
    <row r="15" spans="1:12" x14ac:dyDescent="0.35">
      <c r="E15" s="6"/>
      <c r="F15" s="13"/>
      <c r="G15" s="7">
        <f t="shared" si="0"/>
        <v>0</v>
      </c>
      <c r="J15" s="15" t="s">
        <v>18</v>
      </c>
      <c r="K15" s="21">
        <f>G26</f>
        <v>92.553780000000003</v>
      </c>
      <c r="L15" s="22">
        <f>(K15/K17)*100</f>
        <v>3.4569671386946124</v>
      </c>
    </row>
    <row r="16" spans="1:12" x14ac:dyDescent="0.35">
      <c r="A16" s="29" t="s">
        <v>36</v>
      </c>
      <c r="B16" s="15" t="s">
        <v>31</v>
      </c>
      <c r="C16" s="15">
        <v>590</v>
      </c>
      <c r="D16" s="15">
        <v>0.54</v>
      </c>
      <c r="E16" s="16">
        <f>(D16*Settings!B2)/1000</f>
        <v>0.14310000000000003</v>
      </c>
      <c r="F16" s="31"/>
      <c r="G16" s="7">
        <f t="shared" si="0"/>
        <v>0</v>
      </c>
      <c r="J16" s="15" t="s">
        <v>20</v>
      </c>
      <c r="K16" s="21">
        <f>G27</f>
        <v>445.66003200000006</v>
      </c>
      <c r="L16" s="22">
        <f>(K16/K17)*100</f>
        <v>16.645804046615812</v>
      </c>
    </row>
    <row r="17" spans="1:12" x14ac:dyDescent="0.35">
      <c r="A17" s="15"/>
      <c r="B17" s="15" t="s">
        <v>14</v>
      </c>
      <c r="C17" s="15">
        <v>500</v>
      </c>
      <c r="D17" s="15">
        <v>0.46</v>
      </c>
      <c r="E17" s="16">
        <f>(D17*Settings!B2)/1000</f>
        <v>0.12190000000000001</v>
      </c>
      <c r="F17" s="31"/>
      <c r="G17" s="7">
        <f t="shared" si="0"/>
        <v>0</v>
      </c>
      <c r="J17" s="15" t="s">
        <v>22</v>
      </c>
      <c r="K17" s="21">
        <f>SUM(K11:K16)</f>
        <v>2677.3115360000006</v>
      </c>
      <c r="L17" s="21">
        <f>SUM(L11:L16)</f>
        <v>99.999999999999972</v>
      </c>
    </row>
    <row r="18" spans="1:12" x14ac:dyDescent="0.35">
      <c r="A18" s="15"/>
      <c r="B18" s="15" t="s">
        <v>8</v>
      </c>
      <c r="C18" s="15">
        <v>2000</v>
      </c>
      <c r="D18" s="15">
        <v>1.84</v>
      </c>
      <c r="E18" s="16">
        <f>(D18*Settings!B2)/1000</f>
        <v>0.48760000000000003</v>
      </c>
      <c r="F18" s="31">
        <v>1000</v>
      </c>
      <c r="G18" s="7">
        <f t="shared" si="0"/>
        <v>487.6</v>
      </c>
    </row>
    <row r="19" spans="1:12" x14ac:dyDescent="0.35">
      <c r="A19" s="15"/>
      <c r="B19" s="15" t="s">
        <v>32</v>
      </c>
      <c r="C19" s="15">
        <v>2770</v>
      </c>
      <c r="D19" s="15">
        <v>2.5499999999999998</v>
      </c>
      <c r="E19" s="16">
        <f>(D19*Settings!B2)/1000</f>
        <v>0.67574999999999996</v>
      </c>
      <c r="F19" s="31"/>
      <c r="G19" s="7">
        <f t="shared" si="0"/>
        <v>0</v>
      </c>
    </row>
    <row r="20" spans="1:12" x14ac:dyDescent="0.35">
      <c r="A20" s="15"/>
      <c r="B20" s="15" t="s">
        <v>9</v>
      </c>
      <c r="C20" s="15">
        <v>5000</v>
      </c>
      <c r="D20" s="15">
        <v>4.5999999999999996</v>
      </c>
      <c r="E20" s="16">
        <f>(D20*Settings!B2)/1000</f>
        <v>1.2190000000000001</v>
      </c>
      <c r="F20" s="31">
        <v>500</v>
      </c>
      <c r="G20" s="7">
        <f t="shared" si="0"/>
        <v>609.5</v>
      </c>
    </row>
    <row r="21" spans="1:12" x14ac:dyDescent="0.35">
      <c r="E21" s="6"/>
      <c r="G21" s="7"/>
    </row>
    <row r="22" spans="1:12" ht="16.5" x14ac:dyDescent="0.4">
      <c r="A22" s="51" t="s">
        <v>41</v>
      </c>
      <c r="B22" s="51"/>
      <c r="E22" s="6"/>
      <c r="F22" s="11">
        <f>SUM(G11:G21)-G13</f>
        <v>1986.8375000000001</v>
      </c>
      <c r="K22" s="7"/>
    </row>
    <row r="23" spans="1:12" x14ac:dyDescent="0.35">
      <c r="A23" s="8"/>
      <c r="E23" s="6"/>
      <c r="G23" s="9"/>
      <c r="K23" s="7"/>
    </row>
    <row r="24" spans="1:12" x14ac:dyDescent="0.35">
      <c r="A24" s="15"/>
      <c r="B24" s="15"/>
      <c r="C24" s="15"/>
      <c r="D24" s="15"/>
      <c r="E24" s="16"/>
      <c r="F24" s="15" t="s">
        <v>35</v>
      </c>
      <c r="G24" s="7"/>
      <c r="K24" s="7"/>
    </row>
    <row r="25" spans="1:12" x14ac:dyDescent="0.35">
      <c r="A25" s="29" t="s">
        <v>17</v>
      </c>
      <c r="B25" s="15" t="s">
        <v>24</v>
      </c>
      <c r="C25" s="15"/>
      <c r="D25" s="15"/>
      <c r="E25" s="16">
        <f>Settings!G3</f>
        <v>7.7900000000000011E-2</v>
      </c>
      <c r="F25" s="19">
        <v>2036</v>
      </c>
      <c r="G25" s="7">
        <f>(E25*F25)*0.96</f>
        <v>152.26022400000002</v>
      </c>
      <c r="K25" s="7"/>
    </row>
    <row r="26" spans="1:12" x14ac:dyDescent="0.35">
      <c r="A26" s="29" t="s">
        <v>18</v>
      </c>
      <c r="B26" s="15" t="s">
        <v>24</v>
      </c>
      <c r="C26" s="15"/>
      <c r="D26" s="15"/>
      <c r="E26" s="16">
        <f>Settings!G4</f>
        <v>0.21131</v>
      </c>
      <c r="F26" s="35">
        <v>438</v>
      </c>
      <c r="G26" s="7">
        <f t="shared" ref="G26:G27" si="1">E26*F26</f>
        <v>92.553780000000003</v>
      </c>
      <c r="K26" s="7"/>
    </row>
    <row r="27" spans="1:12" x14ac:dyDescent="0.35">
      <c r="A27" s="29" t="s">
        <v>20</v>
      </c>
      <c r="B27" s="15" t="s">
        <v>25</v>
      </c>
      <c r="C27" s="15"/>
      <c r="D27" s="15"/>
      <c r="E27" s="16">
        <f>Settings!G5</f>
        <v>0.95635200000000009</v>
      </c>
      <c r="F27" s="20">
        <v>466</v>
      </c>
      <c r="G27" s="7">
        <f t="shared" si="1"/>
        <v>445.66003200000006</v>
      </c>
      <c r="K27" s="7"/>
    </row>
    <row r="28" spans="1:12" x14ac:dyDescent="0.35">
      <c r="A28" s="8" t="s">
        <v>26</v>
      </c>
      <c r="E28" s="6"/>
      <c r="F28" s="34">
        <f>SUM(G25:G27)</f>
        <v>690.47403600000007</v>
      </c>
      <c r="K28" s="7"/>
    </row>
    <row r="29" spans="1:12" x14ac:dyDescent="0.35">
      <c r="K29" s="7"/>
    </row>
    <row r="30" spans="1:12" x14ac:dyDescent="0.35">
      <c r="K30" s="7"/>
    </row>
    <row r="31" spans="1:12" ht="16.5" x14ac:dyDescent="0.4">
      <c r="A31" s="10" t="s">
        <v>39</v>
      </c>
      <c r="B31" s="40">
        <f>F22+F28</f>
        <v>2677.3115360000002</v>
      </c>
    </row>
  </sheetData>
  <mergeCells count="1">
    <mergeCell ref="A22:B22"/>
  </mergeCells>
  <pageMargins left="0.75" right="0.75" top="1" bottom="1" header="0.5" footer="0.5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Settings</vt:lpstr>
      <vt:lpstr>BOC-Linde</vt:lpstr>
      <vt:lpstr>Air Liquide</vt:lpstr>
    </vt:vector>
  </TitlesOfParts>
  <Company>RCOA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Kelly</dc:creator>
  <cp:lastModifiedBy>Tom Pierce</cp:lastModifiedBy>
  <dcterms:created xsi:type="dcterms:W3CDTF">2017-10-25T12:12:37Z</dcterms:created>
  <dcterms:modified xsi:type="dcterms:W3CDTF">2021-04-22T07:45:51Z</dcterms:modified>
</cp:coreProperties>
</file>